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Barry\Documents\"/>
    </mc:Choice>
  </mc:AlternateContent>
  <xr:revisionPtr revIDLastSave="0" documentId="13_ncr:1_{F7B07E52-E944-4A2A-9DB2-14344F2129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P 2019-2025" sheetId="2" r:id="rId1"/>
    <sheet name="SP 2022-2026" sheetId="5" r:id="rId2"/>
    <sheet name="Sheet1" sheetId="6" r:id="rId3"/>
  </sheets>
  <definedNames>
    <definedName name="_xlnm.Print_Area" localSheetId="0">'SP 2019-2025'!$A$1:$I$35</definedName>
    <definedName name="_xlnm.Print_Area" localSheetId="1">'SP 2022-2026'!$C$2:$K$38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5" l="1"/>
  <c r="G10" i="5"/>
  <c r="H10" i="5" s="1"/>
  <c r="F15" i="5"/>
  <c r="F8" i="5"/>
  <c r="H8" i="5"/>
  <c r="G15" i="5"/>
  <c r="G19" i="5" s="1"/>
  <c r="F19" i="5"/>
  <c r="I10" i="5" l="1"/>
  <c r="I8" i="5"/>
  <c r="J26" i="5"/>
  <c r="I26" i="5"/>
  <c r="H26" i="5"/>
  <c r="G26" i="5"/>
  <c r="F26" i="5"/>
  <c r="I15" i="5"/>
  <c r="I19" i="5" s="1"/>
  <c r="H15" i="5"/>
  <c r="H19" i="5" s="1"/>
  <c r="G28" i="5"/>
  <c r="J18" i="5"/>
  <c r="J10" i="5" l="1"/>
  <c r="J15" i="5" s="1"/>
  <c r="J19" i="5" s="1"/>
  <c r="J8" i="5"/>
  <c r="G27" i="5"/>
  <c r="H27" i="5" s="1"/>
  <c r="I27" i="5" s="1"/>
  <c r="J27" i="5" s="1"/>
  <c r="F29" i="5" l="1"/>
  <c r="H28" i="5"/>
  <c r="I28" i="5" s="1"/>
  <c r="J28" i="5" s="1"/>
  <c r="J29" i="5" s="1"/>
  <c r="E12" i="2"/>
  <c r="E14" i="2" s="1"/>
  <c r="G29" i="5" l="1"/>
  <c r="I18" i="5"/>
  <c r="F18" i="5"/>
  <c r="E15" i="2"/>
  <c r="F22" i="2"/>
  <c r="I29" i="5" l="1"/>
  <c r="H29" i="5"/>
  <c r="G18" i="5"/>
  <c r="F11" i="2"/>
  <c r="F23" i="5" l="1"/>
  <c r="F31" i="5" s="1"/>
  <c r="G13" i="5" s="1"/>
  <c r="G23" i="5" s="1"/>
  <c r="H18" i="5"/>
  <c r="G11" i="2"/>
  <c r="F12" i="2"/>
  <c r="F14" i="2" s="1"/>
  <c r="F15" i="2" s="1"/>
  <c r="G22" i="2"/>
  <c r="G31" i="5" l="1"/>
  <c r="H13" i="5" s="1"/>
  <c r="H23" i="5" s="1"/>
  <c r="H11" i="2"/>
  <c r="G12" i="2"/>
  <c r="G14" i="2" s="1"/>
  <c r="H22" i="2"/>
  <c r="E24" i="2"/>
  <c r="G15" i="2" l="1"/>
  <c r="F24" i="2"/>
  <c r="I11" i="2"/>
  <c r="I12" i="2" s="1"/>
  <c r="I14" i="2" s="1"/>
  <c r="H12" i="2"/>
  <c r="H14" i="2" s="1"/>
  <c r="I22" i="2"/>
  <c r="E23" i="2"/>
  <c r="I15" i="2" l="1"/>
  <c r="H15" i="2"/>
  <c r="J15" i="2" s="1"/>
  <c r="F23" i="2"/>
  <c r="G24" i="2"/>
  <c r="D15" i="2"/>
  <c r="G23" i="2" l="1"/>
  <c r="H24" i="2"/>
  <c r="D25" i="2"/>
  <c r="E25" i="2"/>
  <c r="J22" i="2" l="1"/>
  <c r="J24" i="2"/>
  <c r="J23" i="2"/>
  <c r="I24" i="2"/>
  <c r="H23" i="2"/>
  <c r="F6" i="2"/>
  <c r="F25" i="2"/>
  <c r="I23" i="2" l="1"/>
  <c r="K22" i="2"/>
  <c r="K24" i="2"/>
  <c r="K23" i="2"/>
  <c r="H25" i="2"/>
  <c r="G25" i="2"/>
  <c r="G6" i="2"/>
  <c r="M22" i="2" l="1"/>
  <c r="M24" i="2"/>
  <c r="L22" i="2"/>
  <c r="L24" i="2"/>
  <c r="L23" i="2"/>
  <c r="M23" i="2"/>
  <c r="I25" i="2"/>
  <c r="H6" i="2"/>
  <c r="I6" i="2" s="1"/>
  <c r="D19" i="2" l="1"/>
  <c r="D27" i="2" s="1"/>
  <c r="E9" i="2" s="1"/>
  <c r="E19" i="2" s="1"/>
  <c r="E27" i="2" s="1"/>
  <c r="F9" i="2" s="1"/>
  <c r="F19" i="2" l="1"/>
  <c r="F27" i="2" s="1"/>
  <c r="G9" i="2" s="1"/>
  <c r="G19" i="2" s="1"/>
  <c r="G27" i="2" s="1"/>
  <c r="H9" i="2" s="1"/>
  <c r="H19" i="2" l="1"/>
  <c r="H27" i="2" s="1"/>
  <c r="I9" i="2" s="1"/>
  <c r="I19" i="2" s="1"/>
  <c r="I27" i="2" s="1"/>
  <c r="H31" i="5"/>
  <c r="I13" i="5" s="1"/>
  <c r="I23" i="5" s="1"/>
  <c r="I31" i="5" l="1"/>
  <c r="J13" i="5" l="1"/>
  <c r="J23" i="5" s="1"/>
  <c r="J31" i="5" s="1"/>
</calcChain>
</file>

<file path=xl/sharedStrings.xml><?xml version="1.0" encoding="utf-8"?>
<sst xmlns="http://schemas.openxmlformats.org/spreadsheetml/2006/main" count="60" uniqueCount="40">
  <si>
    <t>Prestonwood Public Improvement District</t>
  </si>
  <si>
    <t>Revenue &amp; Reserves</t>
  </si>
  <si>
    <t>Net Assessment Revenue</t>
  </si>
  <si>
    <t>Interest on Cash balances</t>
  </si>
  <si>
    <t>Total Income &amp; Reserves</t>
  </si>
  <si>
    <t>Total Disbursements</t>
  </si>
  <si>
    <t>Reserve</t>
  </si>
  <si>
    <t>Estimated annual assessment rate requirement</t>
  </si>
  <si>
    <t>Estimated annual aggregate property valuation</t>
  </si>
  <si>
    <t>Calendar Year Beginning Balance</t>
  </si>
  <si>
    <t>Gross Assessment Revenue</t>
  </si>
  <si>
    <t>PID Oversight Charge from City</t>
  </si>
  <si>
    <t>PID Services</t>
  </si>
  <si>
    <t>Assumptions</t>
  </si>
  <si>
    <t>1.  Assumes 1% increase in annual aggregate appraisal values</t>
  </si>
  <si>
    <t>4. Assumes annual audit paid 100% by PID with cost increase of $2000 for accrual based financial audit</t>
  </si>
  <si>
    <t>6. Assumes a 2% annual increase in admin fees.  Additionally, a management fee of $500 per month is charged to the PID by PHA to reflect the cost of operating the PID and time spent  by PHA members.</t>
  </si>
  <si>
    <t>5. Assumes insurance split with PHA more in line with value received under coverages</t>
  </si>
  <si>
    <t>Service Plan 2020-2024</t>
  </si>
  <si>
    <t>Exempt Jurisdictions</t>
  </si>
  <si>
    <t>2.  Assumes initial realization of 97% of the tax levy and city releases 50% of holdback in the year of the levy.   Revenue increases match property value increases.</t>
  </si>
  <si>
    <t>3. Assumes 5.0% annual officer compensation, cost of living &amp; expense increase and a one time $7000 payment for safety signage in 2019.  5% increase will start in 2021. Also assumes one time 10% increase in 2019/2020 to make officers' compensation competitive (increase will begin in September 2019 and impact 8 months into 2020).</t>
  </si>
  <si>
    <t>Retainage held for Protests</t>
  </si>
  <si>
    <r>
      <t>Estimated annual aggregate property valuation increase</t>
    </r>
    <r>
      <rPr>
        <vertAlign val="superscript"/>
        <sz val="18"/>
        <color rgb="FF000000"/>
        <rFont val="Calibri"/>
        <family val="2"/>
      </rPr>
      <t>1</t>
    </r>
  </si>
  <si>
    <r>
      <t>Retainage funds Returned</t>
    </r>
    <r>
      <rPr>
        <vertAlign val="superscript"/>
        <sz val="18"/>
        <color rgb="FF000000"/>
        <rFont val="Calibri"/>
        <family val="2"/>
      </rPr>
      <t>2</t>
    </r>
  </si>
  <si>
    <r>
      <t>Public Safety</t>
    </r>
    <r>
      <rPr>
        <vertAlign val="superscript"/>
        <sz val="18"/>
        <color rgb="FF000000"/>
        <rFont val="Calibri"/>
        <family val="2"/>
      </rPr>
      <t>3</t>
    </r>
  </si>
  <si>
    <r>
      <t>Audit &amp; Insurance</t>
    </r>
    <r>
      <rPr>
        <vertAlign val="superscript"/>
        <sz val="18"/>
        <color rgb="FF000000"/>
        <rFont val="Calibri"/>
        <family val="2"/>
      </rPr>
      <t>4,5</t>
    </r>
  </si>
  <si>
    <r>
      <t>Administrative</t>
    </r>
    <r>
      <rPr>
        <vertAlign val="superscript"/>
        <sz val="18"/>
        <color rgb="FF000000"/>
        <rFont val="Calibri"/>
        <family val="2"/>
      </rPr>
      <t>6</t>
    </r>
  </si>
  <si>
    <t>Exhbit B</t>
  </si>
  <si>
    <t>Service Plan 2023-2027</t>
  </si>
  <si>
    <r>
      <t>Administrative</t>
    </r>
    <r>
      <rPr>
        <vertAlign val="superscript"/>
        <sz val="18"/>
        <color rgb="FF000000"/>
        <rFont val="Calibri"/>
        <family val="2"/>
      </rPr>
      <t>5</t>
    </r>
  </si>
  <si>
    <t>Forecast</t>
  </si>
  <si>
    <t>Retainage funds Returned</t>
  </si>
  <si>
    <r>
      <t>Public Safety</t>
    </r>
    <r>
      <rPr>
        <vertAlign val="superscript"/>
        <sz val="18"/>
        <color rgb="FF000000"/>
        <rFont val="Calibri"/>
        <family val="2"/>
      </rPr>
      <t>2</t>
    </r>
  </si>
  <si>
    <r>
      <t>Audit &amp; Insurance</t>
    </r>
    <r>
      <rPr>
        <vertAlign val="superscript"/>
        <sz val="18"/>
        <color rgb="FF000000"/>
        <rFont val="Calibri"/>
        <family val="2"/>
      </rPr>
      <t>3 4</t>
    </r>
  </si>
  <si>
    <t>3. Assumes annual audit paid 100% by PID, consistent with current arrangement, and a 5% annual cost increase.  Insurance premium costs increase 5%.</t>
  </si>
  <si>
    <t>4. Assumes insurance split with PHA consistent with current arrangements based on value received by both parties</t>
  </si>
  <si>
    <t>5. Assumes annual $50,000 management fee and a 5% increase in other admin costs annually</t>
  </si>
  <si>
    <t>2. Assumes 4% raise in annual officer compensation in effective January 1 annually and a $35,000 annual bonus pool</t>
  </si>
  <si>
    <t>1.  Assumes increase in aggregate appraisal values of 5% in 2024 AND 2% each year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</si>
</sst>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* #,##0&quot; &quot;;&quot; &quot;&quot;$&quot;* \(#,##0\);&quot; &quot;&quot;$&quot;* &quot;-&quot;??&quot; &quot;"/>
    <numFmt numFmtId="165" formatCode="0.0%"/>
    <numFmt numFmtId="166" formatCode="0.0000"/>
    <numFmt numFmtId="167" formatCode="&quot;$&quot;#,##0.00"/>
    <numFmt numFmtId="168" formatCode="_(* #,##0_);_(* \(#,##0\);_(* &quot;-&quot;??_);_(@_)"/>
    <numFmt numFmtId="169" formatCode="&quot;$&quot;#,##0.0000"/>
    <numFmt numFmtId="170" formatCode="&quot;$&quot;#,##0"/>
  </numFmts>
  <fonts count="14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vertAlign val="superscript"/>
      <sz val="18"/>
      <color rgb="FF000000"/>
      <name val="Calibri"/>
      <family val="2"/>
    </font>
    <font>
      <b/>
      <i/>
      <sz val="18"/>
      <color indexed="8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i/>
      <sz val="18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8"/>
      <color theme="1" tint="0.249977111117893"/>
      <name val="Calibri"/>
      <family val="2"/>
    </font>
    <font>
      <sz val="18"/>
      <color theme="1" tint="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2" fillId="3" borderId="1" xfId="0" applyNumberFormat="1" applyFont="1" applyFill="1" applyBorder="1"/>
    <xf numFmtId="0" fontId="3" fillId="3" borderId="1" xfId="0" applyNumberFormat="1" applyFont="1" applyFill="1" applyBorder="1"/>
    <xf numFmtId="0" fontId="3" fillId="0" borderId="0" xfId="0" applyNumberFormat="1" applyFont="1"/>
    <xf numFmtId="49" fontId="2" fillId="2" borderId="4" xfId="0" applyNumberFormat="1" applyFont="1" applyFill="1" applyBorder="1"/>
    <xf numFmtId="0" fontId="3" fillId="2" borderId="5" xfId="0" applyNumberFormat="1" applyFont="1" applyFill="1" applyBorder="1"/>
    <xf numFmtId="0" fontId="4" fillId="2" borderId="5" xfId="0" applyNumberFormat="1" applyFont="1" applyFill="1" applyBorder="1"/>
    <xf numFmtId="0" fontId="4" fillId="2" borderId="6" xfId="0" applyNumberFormat="1" applyFont="1" applyFill="1" applyBorder="1"/>
    <xf numFmtId="0" fontId="2" fillId="2" borderId="7" xfId="0" applyNumberFormat="1" applyFont="1" applyFill="1" applyBorder="1"/>
    <xf numFmtId="49" fontId="3" fillId="2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8" xfId="0" applyNumberFormat="1" applyFont="1" applyFill="1" applyBorder="1"/>
    <xf numFmtId="165" fontId="3" fillId="2" borderId="1" xfId="0" applyNumberFormat="1" applyFont="1" applyFill="1" applyBorder="1"/>
    <xf numFmtId="165" fontId="3" fillId="2" borderId="8" xfId="0" applyNumberFormat="1" applyFont="1" applyFill="1" applyBorder="1"/>
    <xf numFmtId="0" fontId="2" fillId="2" borderId="9" xfId="0" applyNumberFormat="1" applyFont="1" applyFill="1" applyBorder="1"/>
    <xf numFmtId="49" fontId="3" fillId="2" borderId="2" xfId="0" applyNumberFormat="1" applyFont="1" applyFill="1" applyBorder="1"/>
    <xf numFmtId="164" fontId="2" fillId="2" borderId="2" xfId="0" applyNumberFormat="1" applyFont="1" applyFill="1" applyBorder="1"/>
    <xf numFmtId="164" fontId="2" fillId="2" borderId="10" xfId="0" applyNumberFormat="1" applyFont="1" applyFill="1" applyBorder="1"/>
    <xf numFmtId="0" fontId="3" fillId="2" borderId="7" xfId="0" applyNumberFormat="1" applyFont="1" applyFill="1" applyBorder="1"/>
    <xf numFmtId="0" fontId="3" fillId="2" borderId="1" xfId="0" applyNumberFormat="1" applyFont="1" applyFill="1" applyBorder="1"/>
    <xf numFmtId="0" fontId="3" fillId="2" borderId="8" xfId="0" applyNumberFormat="1" applyFont="1" applyFill="1" applyBorder="1"/>
    <xf numFmtId="49" fontId="6" fillId="2" borderId="7" xfId="0" applyNumberFormat="1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right"/>
    </xf>
    <xf numFmtId="0" fontId="6" fillId="2" borderId="7" xfId="0" applyNumberFormat="1" applyFont="1" applyFill="1" applyBorder="1"/>
    <xf numFmtId="164" fontId="7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2" borderId="8" xfId="0" applyNumberFormat="1" applyFont="1" applyFill="1" applyBorder="1"/>
    <xf numFmtId="49" fontId="3" fillId="2" borderId="3" xfId="0" applyNumberFormat="1" applyFont="1" applyFill="1" applyBorder="1"/>
    <xf numFmtId="164" fontId="7" fillId="2" borderId="3" xfId="0" applyNumberFormat="1" applyFont="1" applyFill="1" applyBorder="1"/>
    <xf numFmtId="164" fontId="3" fillId="2" borderId="3" xfId="0" applyNumberFormat="1" applyFont="1" applyFill="1" applyBorder="1"/>
    <xf numFmtId="164" fontId="3" fillId="2" borderId="11" xfId="0" applyNumberFormat="1" applyFont="1" applyFill="1" applyBorder="1"/>
    <xf numFmtId="164" fontId="7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0" borderId="0" xfId="0" applyNumberFormat="1" applyFont="1"/>
    <xf numFmtId="0" fontId="6" fillId="2" borderId="9" xfId="0" applyNumberFormat="1" applyFont="1" applyFill="1" applyBorder="1"/>
    <xf numFmtId="164" fontId="8" fillId="2" borderId="2" xfId="0" applyNumberFormat="1" applyFont="1" applyFill="1" applyBorder="1"/>
    <xf numFmtId="0" fontId="7" fillId="2" borderId="1" xfId="0" applyNumberFormat="1" applyFont="1" applyFill="1" applyBorder="1"/>
    <xf numFmtId="9" fontId="3" fillId="0" borderId="0" xfId="1" applyFont="1" applyAlignment="1"/>
    <xf numFmtId="49" fontId="3" fillId="2" borderId="9" xfId="0" applyNumberFormat="1" applyFont="1" applyFill="1" applyBorder="1"/>
    <xf numFmtId="0" fontId="9" fillId="2" borderId="12" xfId="0" applyNumberFormat="1" applyFont="1" applyFill="1" applyBorder="1"/>
    <xf numFmtId="0" fontId="3" fillId="2" borderId="13" xfId="0" applyNumberFormat="1" applyFont="1" applyFill="1" applyBorder="1"/>
    <xf numFmtId="164" fontId="8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3" fillId="0" borderId="1" xfId="0" applyNumberFormat="1" applyFont="1" applyBorder="1"/>
    <xf numFmtId="49" fontId="6" fillId="2" borderId="1" xfId="0" applyNumberFormat="1" applyFont="1" applyFill="1" applyBorder="1"/>
    <xf numFmtId="49" fontId="3" fillId="0" borderId="1" xfId="0" applyNumberFormat="1" applyFont="1" applyBorder="1"/>
    <xf numFmtId="0" fontId="3" fillId="0" borderId="0" xfId="0" applyNumberFormat="1" applyFont="1" applyAlignment="1">
      <alignment horizontal="left" wrapText="1"/>
    </xf>
    <xf numFmtId="0" fontId="3" fillId="3" borderId="0" xfId="0" applyNumberFormat="1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167" fontId="3" fillId="2" borderId="1" xfId="0" applyNumberFormat="1" applyFont="1" applyFill="1" applyBorder="1"/>
    <xf numFmtId="49" fontId="2" fillId="2" borderId="7" xfId="0" applyNumberFormat="1" applyFont="1" applyFill="1" applyBorder="1"/>
    <xf numFmtId="1" fontId="4" fillId="2" borderId="1" xfId="2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8" fontId="3" fillId="2" borderId="1" xfId="3" applyNumberFormat="1" applyFont="1" applyFill="1" applyBorder="1" applyAlignment="1"/>
    <xf numFmtId="168" fontId="3" fillId="2" borderId="8" xfId="3" applyNumberFormat="1" applyFont="1" applyFill="1" applyBorder="1" applyAlignment="1"/>
    <xf numFmtId="168" fontId="3" fillId="2" borderId="3" xfId="3" applyNumberFormat="1" applyFont="1" applyFill="1" applyBorder="1" applyAlignment="1"/>
    <xf numFmtId="168" fontId="2" fillId="2" borderId="1" xfId="3" applyNumberFormat="1" applyFont="1" applyFill="1" applyBorder="1" applyAlignment="1"/>
    <xf numFmtId="168" fontId="2" fillId="2" borderId="2" xfId="3" applyNumberFormat="1" applyFont="1" applyFill="1" applyBorder="1" applyAlignment="1"/>
    <xf numFmtId="168" fontId="2" fillId="2" borderId="10" xfId="3" applyNumberFormat="1" applyFont="1" applyFill="1" applyBorder="1" applyAlignment="1"/>
    <xf numFmtId="168" fontId="3" fillId="2" borderId="15" xfId="3" applyNumberFormat="1" applyFont="1" applyFill="1" applyBorder="1" applyAlignment="1"/>
    <xf numFmtId="168" fontId="2" fillId="2" borderId="13" xfId="3" applyNumberFormat="1" applyFont="1" applyFill="1" applyBorder="1" applyAlignment="1"/>
    <xf numFmtId="168" fontId="2" fillId="2" borderId="14" xfId="3" applyNumberFormat="1" applyFont="1" applyFill="1" applyBorder="1" applyAlignment="1"/>
    <xf numFmtId="165" fontId="3" fillId="2" borderId="1" xfId="1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/>
    <xf numFmtId="0" fontId="4" fillId="2" borderId="17" xfId="0" applyNumberFormat="1" applyFont="1" applyFill="1" applyBorder="1" applyAlignment="1">
      <alignment horizontal="center"/>
    </xf>
    <xf numFmtId="167" fontId="3" fillId="2" borderId="17" xfId="0" applyNumberFormat="1" applyFont="1" applyFill="1" applyBorder="1"/>
    <xf numFmtId="1" fontId="4" fillId="2" borderId="17" xfId="2" applyNumberFormat="1" applyFont="1" applyFill="1" applyBorder="1" applyAlignment="1">
      <alignment horizontal="center"/>
    </xf>
    <xf numFmtId="168" fontId="3" fillId="2" borderId="17" xfId="3" applyNumberFormat="1" applyFont="1" applyFill="1" applyBorder="1" applyAlignment="1"/>
    <xf numFmtId="168" fontId="3" fillId="2" borderId="18" xfId="3" applyNumberFormat="1" applyFont="1" applyFill="1" applyBorder="1" applyAlignment="1"/>
    <xf numFmtId="168" fontId="2" fillId="2" borderId="17" xfId="3" applyNumberFormat="1" applyFont="1" applyFill="1" applyBorder="1" applyAlignment="1"/>
    <xf numFmtId="168" fontId="2" fillId="2" borderId="16" xfId="3" applyNumberFormat="1" applyFont="1" applyFill="1" applyBorder="1" applyAlignment="1"/>
    <xf numFmtId="169" fontId="12" fillId="2" borderId="1" xfId="0" applyNumberFormat="1" applyFont="1" applyFill="1" applyBorder="1"/>
    <xf numFmtId="170" fontId="13" fillId="2" borderId="1" xfId="0" applyNumberFormat="1" applyFont="1" applyFill="1" applyBorder="1"/>
    <xf numFmtId="170" fontId="12" fillId="2" borderId="2" xfId="0" applyNumberFormat="1" applyFont="1" applyFill="1" applyBorder="1"/>
    <xf numFmtId="168" fontId="13" fillId="2" borderId="1" xfId="3" applyNumberFormat="1" applyFont="1" applyFill="1" applyBorder="1" applyAlignment="1"/>
    <xf numFmtId="168" fontId="13" fillId="2" borderId="17" xfId="3" applyNumberFormat="1" applyFont="1" applyFill="1" applyBorder="1" applyAlignment="1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Border="1"/>
    <xf numFmtId="49" fontId="13" fillId="0" borderId="1" xfId="0" applyNumberFormat="1" applyFont="1" applyBorder="1"/>
    <xf numFmtId="49" fontId="13" fillId="0" borderId="8" xfId="0" applyNumberFormat="1" applyFont="1" applyBorder="1"/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/>
    <xf numFmtId="49" fontId="3" fillId="2" borderId="1" xfId="0" applyNumberFormat="1" applyFont="1" applyFill="1" applyBorder="1"/>
    <xf numFmtId="49" fontId="3" fillId="2" borderId="8" xfId="0" applyNumberFormat="1" applyFont="1" applyFill="1" applyBorder="1"/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3" fillId="2" borderId="4" xfId="0" applyNumberFormat="1" applyFont="1" applyFill="1" applyBorder="1"/>
    <xf numFmtId="0" fontId="3" fillId="2" borderId="5" xfId="0" applyNumberFormat="1" applyFont="1" applyFill="1" applyBorder="1"/>
    <xf numFmtId="0" fontId="3" fillId="2" borderId="6" xfId="0" applyNumberFormat="1" applyFont="1" applyFill="1" applyBorder="1"/>
    <xf numFmtId="49" fontId="6" fillId="2" borderId="7" xfId="0" applyNumberFormat="1" applyFont="1" applyFill="1" applyBorder="1"/>
    <xf numFmtId="49" fontId="6" fillId="2" borderId="1" xfId="0" applyNumberFormat="1" applyFont="1" applyFill="1" applyBorder="1"/>
    <xf numFmtId="49" fontId="6" fillId="2" borderId="8" xfId="0" applyNumberFormat="1" applyFont="1" applyFill="1" applyBorder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38"/>
  <sheetViews>
    <sheetView showGridLines="0" view="pageBreakPreview" topLeftCell="B1" zoomScaleNormal="53" zoomScaleSheetLayoutView="100" workbookViewId="0">
      <selection activeCell="G4" sqref="G4"/>
    </sheetView>
  </sheetViews>
  <sheetFormatPr defaultColWidth="8.85546875" defaultRowHeight="15" customHeight="1" x14ac:dyDescent="0.25"/>
  <cols>
    <col min="1" max="1" width="4.42578125" style="1" customWidth="1"/>
    <col min="2" max="2" width="53.5703125" style="1" customWidth="1"/>
    <col min="3" max="3" width="1" style="1" customWidth="1"/>
    <col min="4" max="4" width="1.42578125" style="1" customWidth="1"/>
    <col min="5" max="6" width="26.85546875" style="1" customWidth="1"/>
    <col min="7" max="7" width="24.5703125" style="1" customWidth="1"/>
    <col min="8" max="9" width="24.7109375" style="1" customWidth="1"/>
    <col min="10" max="10" width="27.85546875" style="1" customWidth="1"/>
    <col min="11" max="13" width="8.85546875" style="1" customWidth="1"/>
    <col min="14" max="14" width="14" style="1" customWidth="1"/>
    <col min="15" max="250" width="8.85546875" style="1" customWidth="1"/>
  </cols>
  <sheetData>
    <row r="1" spans="1:14" ht="21" customHeight="1" x14ac:dyDescent="0.35">
      <c r="A1" s="4" t="s">
        <v>0</v>
      </c>
      <c r="B1" s="5"/>
      <c r="C1" s="5"/>
      <c r="D1" s="5"/>
      <c r="E1" s="5"/>
      <c r="F1" s="5"/>
      <c r="G1" s="5"/>
      <c r="H1" s="5"/>
      <c r="I1" s="53"/>
    </row>
    <row r="2" spans="1:14" ht="18.75" customHeight="1" thickBot="1" x14ac:dyDescent="0.4">
      <c r="A2" s="4" t="s">
        <v>18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20.25" customHeight="1" x14ac:dyDescent="0.35">
      <c r="A3" s="7"/>
      <c r="B3" s="8"/>
      <c r="C3" s="8"/>
      <c r="D3" s="9">
        <v>2019</v>
      </c>
      <c r="E3" s="9">
        <v>2020</v>
      </c>
      <c r="F3" s="9">
        <v>2021</v>
      </c>
      <c r="G3" s="9">
        <v>2022</v>
      </c>
      <c r="H3" s="9">
        <v>2023</v>
      </c>
      <c r="I3" s="10">
        <v>2024</v>
      </c>
      <c r="J3" s="6"/>
      <c r="K3" s="6"/>
      <c r="L3" s="6"/>
      <c r="M3" s="6"/>
      <c r="N3" s="6"/>
    </row>
    <row r="4" spans="1:14" ht="46.5" x14ac:dyDescent="0.35">
      <c r="A4" s="11"/>
      <c r="B4" s="54" t="s">
        <v>7</v>
      </c>
      <c r="C4" s="12"/>
      <c r="D4" s="13">
        <v>8.2500000000000004E-2</v>
      </c>
      <c r="E4" s="13">
        <v>8.2500000000000004E-2</v>
      </c>
      <c r="F4" s="13">
        <v>8.2500000000000004E-2</v>
      </c>
      <c r="G4" s="13">
        <v>8.2500000000000004E-2</v>
      </c>
      <c r="H4" s="13">
        <v>8.2500000000000004E-2</v>
      </c>
      <c r="I4" s="14">
        <v>8.2500000000000004E-2</v>
      </c>
      <c r="J4" s="6"/>
      <c r="K4" s="6"/>
      <c r="L4" s="6"/>
      <c r="M4" s="6"/>
      <c r="N4" s="6"/>
    </row>
    <row r="5" spans="1:14" ht="49.5" x14ac:dyDescent="0.35">
      <c r="A5" s="11"/>
      <c r="B5" s="54" t="s">
        <v>23</v>
      </c>
      <c r="C5" s="12"/>
      <c r="D5" s="15">
        <v>0.01</v>
      </c>
      <c r="E5" s="15"/>
      <c r="F5" s="15">
        <v>0.01</v>
      </c>
      <c r="G5" s="15">
        <v>0.01</v>
      </c>
      <c r="H5" s="15">
        <v>0.01</v>
      </c>
      <c r="I5" s="16">
        <v>0.01</v>
      </c>
      <c r="J5" s="6"/>
      <c r="K5" s="6"/>
      <c r="L5" s="6"/>
      <c r="M5" s="6"/>
      <c r="N5" s="6"/>
    </row>
    <row r="6" spans="1:14" ht="47.25" thickBot="1" x14ac:dyDescent="0.4">
      <c r="A6" s="17"/>
      <c r="B6" s="55" t="s">
        <v>8</v>
      </c>
      <c r="C6" s="18"/>
      <c r="D6" s="19">
        <v>549981430</v>
      </c>
      <c r="E6" s="19">
        <v>549981430</v>
      </c>
      <c r="F6" s="19">
        <f>E6*(1+F5)</f>
        <v>555481244.29999995</v>
      </c>
      <c r="G6" s="19">
        <f>F6*(1+G5)</f>
        <v>561036056.74299991</v>
      </c>
      <c r="H6" s="19">
        <f>G6*(1+H5)</f>
        <v>566646417.31042993</v>
      </c>
      <c r="I6" s="20">
        <f t="shared" ref="I6" si="0">H6*(1+I5)</f>
        <v>572312881.48353422</v>
      </c>
      <c r="J6" s="6"/>
      <c r="K6" s="6"/>
      <c r="L6" s="6"/>
      <c r="M6" s="6"/>
      <c r="N6" s="6"/>
    </row>
    <row r="7" spans="1:14" ht="15.75" customHeight="1" thickTop="1" x14ac:dyDescent="0.35">
      <c r="A7" s="21"/>
      <c r="B7" s="22"/>
      <c r="C7" s="22"/>
      <c r="D7" s="22"/>
      <c r="E7" s="22"/>
      <c r="F7" s="22"/>
      <c r="G7" s="22"/>
      <c r="H7" s="22"/>
      <c r="I7" s="23"/>
      <c r="J7" s="6"/>
      <c r="K7" s="6"/>
      <c r="L7" s="6"/>
      <c r="M7" s="6"/>
      <c r="N7" s="6"/>
    </row>
    <row r="8" spans="1:14" ht="17.25" customHeight="1" x14ac:dyDescent="0.35">
      <c r="A8" s="24" t="s">
        <v>1</v>
      </c>
      <c r="B8" s="22"/>
      <c r="C8" s="22"/>
      <c r="D8" s="25">
        <v>2019</v>
      </c>
      <c r="E8" s="25">
        <v>2020</v>
      </c>
      <c r="F8" s="25">
        <v>2021</v>
      </c>
      <c r="G8" s="25">
        <v>2022</v>
      </c>
      <c r="H8" s="25">
        <v>2023</v>
      </c>
      <c r="I8" s="26">
        <v>2024</v>
      </c>
      <c r="J8" s="6"/>
      <c r="K8" s="6"/>
      <c r="L8" s="6"/>
      <c r="M8" s="6"/>
      <c r="N8" s="6"/>
    </row>
    <row r="9" spans="1:14" ht="24.75" customHeight="1" x14ac:dyDescent="0.35">
      <c r="A9" s="27"/>
      <c r="B9" s="12" t="s">
        <v>9</v>
      </c>
      <c r="C9" s="12"/>
      <c r="D9" s="28">
        <v>97671</v>
      </c>
      <c r="E9" s="29">
        <f>D27</f>
        <v>126021</v>
      </c>
      <c r="F9" s="29">
        <f>E27</f>
        <v>142788.946</v>
      </c>
      <c r="G9" s="29">
        <f>F27</f>
        <v>144474.77146000008</v>
      </c>
      <c r="H9" s="29">
        <f>G27</f>
        <v>142082.56717460003</v>
      </c>
      <c r="I9" s="30">
        <f>H27</f>
        <v>135388.39870634605</v>
      </c>
      <c r="J9" s="6"/>
      <c r="K9" s="6"/>
      <c r="L9" s="6"/>
      <c r="M9" s="6"/>
      <c r="N9" s="6"/>
    </row>
    <row r="10" spans="1:14" ht="18.75" customHeight="1" x14ac:dyDescent="0.35">
      <c r="A10" s="27"/>
      <c r="B10" s="12"/>
      <c r="C10" s="12"/>
      <c r="D10" s="28"/>
      <c r="E10" s="29"/>
      <c r="F10" s="29"/>
      <c r="G10" s="29"/>
      <c r="H10" s="29"/>
      <c r="I10" s="30"/>
      <c r="J10" s="6"/>
      <c r="K10" s="6"/>
      <c r="L10" s="6"/>
      <c r="M10" s="6"/>
      <c r="N10" s="6"/>
    </row>
    <row r="11" spans="1:14" ht="18.75" customHeight="1" x14ac:dyDescent="0.35">
      <c r="A11" s="27"/>
      <c r="B11" s="12" t="s">
        <v>10</v>
      </c>
      <c r="C11" s="12"/>
      <c r="D11" s="28">
        <v>420000</v>
      </c>
      <c r="E11" s="29">
        <v>453734.68</v>
      </c>
      <c r="F11" s="29">
        <f>+SUM(E11*1.01)</f>
        <v>458272.02679999999</v>
      </c>
      <c r="G11" s="29">
        <f>+SUM(F11*1.01)</f>
        <v>462854.74706799997</v>
      </c>
      <c r="H11" s="29">
        <f t="shared" ref="H11:I11" si="1">+SUM(G11*1.01)</f>
        <v>467483.29453868</v>
      </c>
      <c r="I11" s="30">
        <f t="shared" si="1"/>
        <v>472158.12748406682</v>
      </c>
      <c r="J11" s="6"/>
      <c r="K11" s="6"/>
      <c r="L11" s="6"/>
      <c r="M11" s="6"/>
      <c r="N11" s="6"/>
    </row>
    <row r="12" spans="1:14" ht="21" customHeight="1" x14ac:dyDescent="0.35">
      <c r="A12" s="27"/>
      <c r="B12" s="12" t="s">
        <v>22</v>
      </c>
      <c r="C12" s="12"/>
      <c r="D12" s="28"/>
      <c r="E12" s="29">
        <f>-(E11*0.1)</f>
        <v>-45373.468000000001</v>
      </c>
      <c r="F12" s="29">
        <f t="shared" ref="F12:I12" si="2">-(F11*0.1)</f>
        <v>-45827.202680000002</v>
      </c>
      <c r="G12" s="29">
        <f t="shared" si="2"/>
        <v>-46285.4747068</v>
      </c>
      <c r="H12" s="29">
        <f t="shared" si="2"/>
        <v>-46748.329453868006</v>
      </c>
      <c r="I12" s="30">
        <f t="shared" si="2"/>
        <v>-47215.812748406686</v>
      </c>
      <c r="J12" s="6"/>
      <c r="K12" s="6"/>
      <c r="L12" s="6"/>
      <c r="M12" s="6"/>
      <c r="N12" s="6"/>
    </row>
    <row r="13" spans="1:14" ht="23.25" customHeight="1" x14ac:dyDescent="0.35">
      <c r="A13" s="27"/>
      <c r="B13" s="12" t="s">
        <v>11</v>
      </c>
      <c r="C13" s="12"/>
      <c r="D13" s="28">
        <v>-7150</v>
      </c>
      <c r="E13" s="29">
        <v>-7150</v>
      </c>
      <c r="F13" s="29">
        <v>-7150</v>
      </c>
      <c r="G13" s="29">
        <v>-7150</v>
      </c>
      <c r="H13" s="29">
        <v>-7150</v>
      </c>
      <c r="I13" s="30">
        <v>-7150</v>
      </c>
      <c r="J13" s="6"/>
      <c r="K13" s="6"/>
      <c r="L13" s="6"/>
      <c r="M13" s="6"/>
      <c r="N13" s="6"/>
    </row>
    <row r="14" spans="1:14" ht="23.25" customHeight="1" x14ac:dyDescent="0.35">
      <c r="A14" s="27"/>
      <c r="B14" s="31" t="s">
        <v>24</v>
      </c>
      <c r="C14" s="31"/>
      <c r="D14" s="32"/>
      <c r="E14" s="33">
        <f>E12*-0.5</f>
        <v>22686.734</v>
      </c>
      <c r="F14" s="33">
        <f t="shared" ref="F14:I14" si="3">F12*-0.5</f>
        <v>22913.601340000001</v>
      </c>
      <c r="G14" s="33">
        <f t="shared" si="3"/>
        <v>23142.7373534</v>
      </c>
      <c r="H14" s="33">
        <f t="shared" si="3"/>
        <v>23374.164726934003</v>
      </c>
      <c r="I14" s="34">
        <f t="shared" si="3"/>
        <v>23607.906374203343</v>
      </c>
      <c r="J14" s="6"/>
      <c r="K14" s="6"/>
      <c r="L14" s="6"/>
      <c r="M14" s="6"/>
      <c r="N14" s="6"/>
    </row>
    <row r="15" spans="1:14" ht="19.5" customHeight="1" x14ac:dyDescent="0.35">
      <c r="A15" s="27"/>
      <c r="B15" s="12" t="s">
        <v>2</v>
      </c>
      <c r="C15" s="12"/>
      <c r="D15" s="35">
        <f>D11+D13+D14</f>
        <v>412850</v>
      </c>
      <c r="E15" s="36">
        <f>E11+E12+E13+E14</f>
        <v>423897.946</v>
      </c>
      <c r="F15" s="36">
        <f t="shared" ref="F15:I15" si="4">F11+F12+F13+F14</f>
        <v>428208.42546</v>
      </c>
      <c r="G15" s="36">
        <f t="shared" si="4"/>
        <v>432562.00971459993</v>
      </c>
      <c r="H15" s="36">
        <f t="shared" si="4"/>
        <v>436959.12981174601</v>
      </c>
      <c r="I15" s="37">
        <f t="shared" si="4"/>
        <v>441400.22110986349</v>
      </c>
      <c r="J15" s="38">
        <f>E15+F15+G15+H15+I15</f>
        <v>2163027.7320962097</v>
      </c>
      <c r="K15" s="6"/>
      <c r="L15" s="6"/>
      <c r="M15" s="6"/>
      <c r="N15" s="6"/>
    </row>
    <row r="16" spans="1:14" ht="16.5" customHeight="1" x14ac:dyDescent="0.35">
      <c r="A16" s="27"/>
      <c r="B16" s="12" t="s">
        <v>19</v>
      </c>
      <c r="C16" s="12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6"/>
      <c r="K16" s="6"/>
      <c r="L16" s="6"/>
      <c r="M16" s="6"/>
      <c r="N16" s="6"/>
    </row>
    <row r="17" spans="1:250" ht="19.5" customHeight="1" x14ac:dyDescent="0.35">
      <c r="A17" s="27"/>
      <c r="B17" s="12" t="s">
        <v>3</v>
      </c>
      <c r="C17" s="12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6"/>
      <c r="K17" s="6"/>
      <c r="L17" s="6"/>
      <c r="M17" s="6"/>
      <c r="N17" s="6"/>
    </row>
    <row r="18" spans="1:250" ht="15" customHeight="1" x14ac:dyDescent="0.35">
      <c r="A18" s="27"/>
      <c r="B18" s="12"/>
      <c r="C18" s="12"/>
      <c r="D18" s="28"/>
      <c r="E18" s="29"/>
      <c r="F18" s="29"/>
      <c r="G18" s="29"/>
      <c r="H18" s="29"/>
      <c r="I18" s="30"/>
      <c r="J18" s="6"/>
      <c r="K18" s="6"/>
      <c r="L18" s="6"/>
      <c r="M18" s="6"/>
      <c r="N18" s="6"/>
    </row>
    <row r="19" spans="1:250" ht="24" customHeight="1" thickBot="1" x14ac:dyDescent="0.4">
      <c r="A19" s="39"/>
      <c r="B19" s="18" t="s">
        <v>4</v>
      </c>
      <c r="C19" s="18"/>
      <c r="D19" s="40">
        <f t="shared" ref="D19:I19" si="5">D9+D15</f>
        <v>510521</v>
      </c>
      <c r="E19" s="19">
        <f t="shared" si="5"/>
        <v>549918.946</v>
      </c>
      <c r="F19" s="19">
        <f t="shared" si="5"/>
        <v>570997.37146000005</v>
      </c>
      <c r="G19" s="19">
        <f t="shared" si="5"/>
        <v>577036.78117460001</v>
      </c>
      <c r="H19" s="19">
        <f t="shared" si="5"/>
        <v>579041.69698634604</v>
      </c>
      <c r="I19" s="20">
        <f t="shared" si="5"/>
        <v>576788.61981620954</v>
      </c>
      <c r="J19" s="6"/>
      <c r="K19" s="6"/>
      <c r="L19" s="6"/>
      <c r="M19" s="6"/>
      <c r="N19" s="6"/>
    </row>
    <row r="20" spans="1:250" ht="15" customHeight="1" thickTop="1" x14ac:dyDescent="0.35">
      <c r="A20" s="27"/>
      <c r="B20" s="22"/>
      <c r="C20" s="22"/>
      <c r="D20" s="41"/>
      <c r="E20" s="22"/>
      <c r="F20" s="22"/>
      <c r="G20" s="22"/>
      <c r="H20" s="22"/>
      <c r="I20" s="23"/>
      <c r="J20" s="6"/>
      <c r="K20" s="6"/>
      <c r="L20" s="6"/>
      <c r="M20" s="6"/>
      <c r="N20" s="6"/>
    </row>
    <row r="21" spans="1:250" ht="23.25" customHeight="1" x14ac:dyDescent="0.35">
      <c r="A21" s="24" t="s">
        <v>12</v>
      </c>
      <c r="B21" s="22"/>
      <c r="C21" s="22"/>
      <c r="D21" s="41"/>
      <c r="E21" s="22"/>
      <c r="F21" s="22"/>
      <c r="G21" s="22"/>
      <c r="H21" s="22"/>
      <c r="I21" s="23"/>
      <c r="J21" s="6"/>
      <c r="K21" s="6"/>
      <c r="L21" s="6"/>
      <c r="M21" s="6"/>
      <c r="N21" s="6"/>
    </row>
    <row r="22" spans="1:250" ht="26.25" customHeight="1" x14ac:dyDescent="0.35">
      <c r="A22" s="27"/>
      <c r="B22" s="12" t="s">
        <v>25</v>
      </c>
      <c r="C22" s="12"/>
      <c r="D22" s="35">
        <v>353000</v>
      </c>
      <c r="E22" s="36">
        <v>375000</v>
      </c>
      <c r="F22" s="36">
        <f>+E22*1.05</f>
        <v>393750</v>
      </c>
      <c r="G22" s="36">
        <f t="shared" ref="G22:I22" si="6">(+F22)*1.02</f>
        <v>401625</v>
      </c>
      <c r="H22" s="36">
        <f t="shared" si="6"/>
        <v>409657.5</v>
      </c>
      <c r="I22" s="37">
        <f t="shared" si="6"/>
        <v>417850.65</v>
      </c>
      <c r="J22" s="42">
        <f>E22/$E$25</f>
        <v>0.92108171837005381</v>
      </c>
      <c r="K22" s="42">
        <f>F22/$F$25</f>
        <v>0.92316327434935452</v>
      </c>
      <c r="L22" s="42">
        <f>G22/$G$25</f>
        <v>0.92337305185874119</v>
      </c>
      <c r="M22" s="42">
        <f>H22/$H$25</f>
        <v>0.92337305185874119</v>
      </c>
      <c r="N22" s="6"/>
    </row>
    <row r="23" spans="1:250" ht="20.25" customHeight="1" x14ac:dyDescent="0.35">
      <c r="A23" s="27"/>
      <c r="B23" s="12" t="s">
        <v>26</v>
      </c>
      <c r="C23" s="12"/>
      <c r="D23" s="28">
        <v>22000</v>
      </c>
      <c r="E23" s="29">
        <f>D23*1.02</f>
        <v>22440</v>
      </c>
      <c r="F23" s="29">
        <f t="shared" ref="F23:I23" si="7">E23*1.02</f>
        <v>22888.799999999999</v>
      </c>
      <c r="G23" s="29">
        <f t="shared" si="7"/>
        <v>23346.576000000001</v>
      </c>
      <c r="H23" s="29">
        <f t="shared" si="7"/>
        <v>23813.507520000003</v>
      </c>
      <c r="I23" s="30">
        <f t="shared" si="7"/>
        <v>24289.777670400003</v>
      </c>
      <c r="J23" s="42">
        <f>E23/$E$25</f>
        <v>5.5117530027264022E-2</v>
      </c>
      <c r="K23" s="42">
        <f t="shared" ref="K23:K24" si="8">F23/$F$25</f>
        <v>5.3663744898863511E-2</v>
      </c>
      <c r="L23" s="42">
        <f t="shared" ref="L23:L24" si="9">G23/$G$25</f>
        <v>5.3675939325420585E-2</v>
      </c>
      <c r="M23" s="42">
        <f t="shared" ref="M23:M24" si="10">H23/$H$25</f>
        <v>5.3675939325420592E-2</v>
      </c>
      <c r="N23" s="42"/>
    </row>
    <row r="24" spans="1:250" ht="23.25" customHeight="1" x14ac:dyDescent="0.35">
      <c r="A24" s="27"/>
      <c r="B24" s="12" t="s">
        <v>27</v>
      </c>
      <c r="C24" s="12"/>
      <c r="D24" s="28">
        <v>9500</v>
      </c>
      <c r="E24" s="29">
        <f>D24*1.02</f>
        <v>9690</v>
      </c>
      <c r="F24" s="29">
        <f>E24*1.02</f>
        <v>9883.7999999999993</v>
      </c>
      <c r="G24" s="29">
        <f>F24*1.01</f>
        <v>9982.637999999999</v>
      </c>
      <c r="H24" s="29">
        <f>G24*1.02</f>
        <v>10182.29076</v>
      </c>
      <c r="I24" s="30">
        <f>H24*1.03</f>
        <v>10487.7594828</v>
      </c>
      <c r="J24" s="42">
        <f>E24/$E$25</f>
        <v>2.3800751602682191E-2</v>
      </c>
      <c r="K24" s="42">
        <f t="shared" si="8"/>
        <v>2.3172980751781969E-2</v>
      </c>
      <c r="L24" s="42">
        <f t="shared" si="9"/>
        <v>2.2951008815838256E-2</v>
      </c>
      <c r="M24" s="42">
        <f t="shared" si="10"/>
        <v>2.2951008815838256E-2</v>
      </c>
      <c r="N24" s="6"/>
    </row>
    <row r="25" spans="1:250" ht="23.25" customHeight="1" thickBot="1" x14ac:dyDescent="0.4">
      <c r="A25" s="43"/>
      <c r="B25" s="18" t="s">
        <v>5</v>
      </c>
      <c r="C25" s="18"/>
      <c r="D25" s="40">
        <f t="shared" ref="D25:I25" si="11">SUM(D22:D24)</f>
        <v>384500</v>
      </c>
      <c r="E25" s="19">
        <f t="shared" si="11"/>
        <v>407130</v>
      </c>
      <c r="F25" s="19">
        <f t="shared" si="11"/>
        <v>426522.6</v>
      </c>
      <c r="G25" s="19">
        <f t="shared" si="11"/>
        <v>434954.21399999998</v>
      </c>
      <c r="H25" s="19">
        <f t="shared" si="11"/>
        <v>443653.29827999999</v>
      </c>
      <c r="I25" s="20">
        <f t="shared" si="11"/>
        <v>452628.18715320004</v>
      </c>
      <c r="J25" s="6"/>
      <c r="K25" s="6"/>
      <c r="L25" s="6"/>
      <c r="M25" s="6"/>
      <c r="N25" s="6"/>
    </row>
    <row r="26" spans="1:250" ht="15" customHeight="1" thickTop="1" x14ac:dyDescent="0.35">
      <c r="A26" s="27"/>
      <c r="B26" s="22"/>
      <c r="C26" s="22"/>
      <c r="D26" s="28"/>
      <c r="E26" s="29"/>
      <c r="F26" s="29"/>
      <c r="G26" s="29"/>
      <c r="H26" s="29"/>
      <c r="I26" s="30"/>
      <c r="J26" s="6"/>
      <c r="K26" s="6"/>
      <c r="L26" s="6"/>
      <c r="M26" s="6"/>
      <c r="N26" s="6"/>
    </row>
    <row r="27" spans="1:250" ht="19.5" customHeight="1" thickBot="1" x14ac:dyDescent="0.4">
      <c r="A27" s="44" t="s">
        <v>6</v>
      </c>
      <c r="B27" s="45"/>
      <c r="C27" s="45"/>
      <c r="D27" s="46">
        <f t="shared" ref="D27:I27" si="12">D19-D25</f>
        <v>126021</v>
      </c>
      <c r="E27" s="47">
        <f t="shared" si="12"/>
        <v>142788.946</v>
      </c>
      <c r="F27" s="47">
        <f t="shared" si="12"/>
        <v>144474.77146000008</v>
      </c>
      <c r="G27" s="47">
        <f t="shared" si="12"/>
        <v>142082.56717460003</v>
      </c>
      <c r="H27" s="47">
        <f t="shared" si="12"/>
        <v>135388.39870634605</v>
      </c>
      <c r="I27" s="48">
        <f t="shared" si="12"/>
        <v>124160.4326630095</v>
      </c>
      <c r="J27" s="6"/>
      <c r="K27" s="6"/>
      <c r="L27" s="6"/>
      <c r="M27" s="6"/>
      <c r="N27" s="6"/>
    </row>
    <row r="28" spans="1:250" ht="15.6" customHeight="1" x14ac:dyDescent="0.35">
      <c r="A28" s="22"/>
      <c r="B28" s="22"/>
      <c r="C28" s="22"/>
      <c r="D28" s="22"/>
      <c r="E28" s="22"/>
      <c r="F28" s="22"/>
      <c r="G28" s="22"/>
      <c r="H28" s="22"/>
      <c r="I28" s="49"/>
      <c r="J28" s="6"/>
      <c r="K28" s="6"/>
      <c r="L28" s="6"/>
      <c r="M28" s="6"/>
      <c r="N28" s="6"/>
    </row>
    <row r="29" spans="1:250" ht="21.75" customHeight="1" x14ac:dyDescent="0.35">
      <c r="A29" s="50" t="s">
        <v>13</v>
      </c>
      <c r="B29" s="22"/>
      <c r="C29" s="22"/>
      <c r="D29" s="22"/>
      <c r="E29" s="22"/>
      <c r="F29" s="22"/>
      <c r="G29" s="22"/>
      <c r="H29" s="22"/>
      <c r="I29" s="49"/>
      <c r="J29" s="6"/>
      <c r="K29" s="6"/>
      <c r="L29" s="6"/>
      <c r="M29" s="6"/>
      <c r="N29" s="6"/>
    </row>
    <row r="30" spans="1:250" ht="21.75" customHeight="1" x14ac:dyDescent="0.35">
      <c r="A30" s="51" t="s">
        <v>14</v>
      </c>
      <c r="B30" s="49"/>
      <c r="C30" s="49"/>
      <c r="D30" s="49"/>
      <c r="E30" s="49"/>
      <c r="F30" s="49"/>
      <c r="G30" s="49"/>
      <c r="H30" s="49"/>
      <c r="I30" s="49"/>
      <c r="J30" s="6"/>
      <c r="K30" s="6"/>
      <c r="L30" s="6"/>
      <c r="M30" s="6"/>
      <c r="N30" s="6"/>
    </row>
    <row r="31" spans="1:250" s="90" customFormat="1" ht="21.75" customHeight="1" x14ac:dyDescent="0.25">
      <c r="A31" s="91" t="s">
        <v>20</v>
      </c>
      <c r="B31" s="91"/>
      <c r="C31" s="91"/>
      <c r="D31" s="91"/>
      <c r="E31" s="91"/>
      <c r="F31" s="91"/>
      <c r="G31" s="91"/>
      <c r="H31" s="91"/>
      <c r="I31" s="91"/>
    </row>
    <row r="32" spans="1:250" s="3" customFormat="1" ht="21.75" customHeight="1" x14ac:dyDescent="0.35">
      <c r="A32" s="91" t="s">
        <v>21</v>
      </c>
      <c r="B32" s="91"/>
      <c r="C32" s="91"/>
      <c r="D32" s="91"/>
      <c r="E32" s="91"/>
      <c r="F32" s="91"/>
      <c r="G32" s="91"/>
      <c r="H32" s="91"/>
      <c r="I32" s="91"/>
      <c r="J32" s="52"/>
      <c r="K32" s="52"/>
      <c r="L32" s="52"/>
      <c r="M32" s="52"/>
      <c r="N32" s="5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14" ht="21.75" customHeight="1" x14ac:dyDescent="0.35">
      <c r="A33" s="12" t="s">
        <v>15</v>
      </c>
      <c r="B33" s="49"/>
      <c r="C33" s="49"/>
      <c r="D33" s="22"/>
      <c r="E33" s="22"/>
      <c r="F33" s="22"/>
      <c r="G33" s="22"/>
      <c r="H33" s="22"/>
      <c r="I33" s="49"/>
      <c r="J33" s="6"/>
      <c r="K33" s="6"/>
      <c r="L33" s="6"/>
      <c r="M33" s="6"/>
      <c r="N33" s="6"/>
    </row>
    <row r="34" spans="1:14" ht="21.75" customHeight="1" x14ac:dyDescent="0.35">
      <c r="A34" s="12" t="s">
        <v>17</v>
      </c>
      <c r="B34" s="49"/>
      <c r="C34" s="49"/>
      <c r="D34" s="22"/>
      <c r="E34" s="22"/>
      <c r="F34" s="22"/>
      <c r="G34" s="22"/>
      <c r="H34" s="22"/>
      <c r="I34" s="49"/>
      <c r="J34" s="6"/>
      <c r="K34" s="6"/>
      <c r="L34" s="6"/>
      <c r="M34" s="6"/>
      <c r="N34" s="6"/>
    </row>
    <row r="35" spans="1:14" s="57" customFormat="1" ht="28.5" customHeight="1" x14ac:dyDescent="0.25">
      <c r="A35" s="89" t="s">
        <v>16</v>
      </c>
      <c r="B35" s="90"/>
      <c r="C35" s="90"/>
      <c r="D35" s="90"/>
      <c r="E35" s="90"/>
      <c r="F35" s="90"/>
      <c r="G35" s="90"/>
      <c r="H35" s="90"/>
      <c r="I35" s="90"/>
    </row>
    <row r="36" spans="1:14" ht="18.75" customHeight="1" x14ac:dyDescent="0.25">
      <c r="A36" s="90"/>
      <c r="B36" s="90"/>
      <c r="C36" s="90"/>
      <c r="D36" s="90"/>
      <c r="E36" s="90"/>
      <c r="F36" s="90"/>
      <c r="G36" s="90"/>
      <c r="H36" s="90"/>
      <c r="I36" s="90"/>
    </row>
    <row r="37" spans="1:14" ht="15" customHeight="1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14" ht="15" customHeight="1" x14ac:dyDescent="0.35">
      <c r="A38" s="6"/>
      <c r="B38" s="6"/>
      <c r="C38" s="6"/>
      <c r="D38" s="6"/>
      <c r="E38" s="6"/>
      <c r="F38" s="6"/>
      <c r="G38" s="6"/>
      <c r="H38" s="6"/>
      <c r="I38" s="6"/>
    </row>
  </sheetData>
  <mergeCells count="3">
    <mergeCell ref="A35:I36"/>
    <mergeCell ref="A31:XFD31"/>
    <mergeCell ref="A32:I32"/>
  </mergeCells>
  <pageMargins left="0.2" right="0.25" top="0.25" bottom="0.25" header="0" footer="0"/>
  <pageSetup scale="71" fitToHeight="0" orientation="landscape" r:id="rId1"/>
  <ignoredErrors>
    <ignoredError sqref="G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IO63"/>
  <sheetViews>
    <sheetView showGridLines="0" tabSelected="1" zoomScale="80" zoomScaleNormal="80" zoomScaleSheetLayoutView="100" workbookViewId="0">
      <selection activeCell="F8" sqref="F8"/>
    </sheetView>
  </sheetViews>
  <sheetFormatPr defaultColWidth="8.85546875" defaultRowHeight="15" customHeight="1" x14ac:dyDescent="0.25"/>
  <cols>
    <col min="3" max="3" width="4.42578125" style="1" customWidth="1"/>
    <col min="4" max="4" width="53.5703125" style="1" customWidth="1"/>
    <col min="5" max="5" width="1" style="1" customWidth="1"/>
    <col min="6" max="6" width="24.42578125" style="1" customWidth="1"/>
    <col min="7" max="7" width="25.7109375" style="1" customWidth="1"/>
    <col min="8" max="8" width="26.28515625" style="1" bestFit="1" customWidth="1"/>
    <col min="9" max="9" width="21.5703125" style="1" bestFit="1" customWidth="1"/>
    <col min="10" max="10" width="26.28515625" style="1" bestFit="1" customWidth="1"/>
    <col min="11" max="12" width="21.5703125" style="1" bestFit="1" customWidth="1"/>
    <col min="13" max="13" width="40.42578125" style="1" customWidth="1"/>
    <col min="14" max="249" width="8.85546875" style="1" customWidth="1"/>
  </cols>
  <sheetData>
    <row r="1" spans="3:249" ht="15" customHeight="1" thickBot="1" x14ac:dyDescent="0.3"/>
    <row r="2" spans="3:249" ht="21" customHeight="1" x14ac:dyDescent="0.35">
      <c r="C2" s="103" t="s">
        <v>28</v>
      </c>
      <c r="D2" s="104"/>
      <c r="E2" s="104"/>
      <c r="F2" s="104"/>
      <c r="G2" s="104"/>
      <c r="H2" s="104"/>
      <c r="I2" s="104"/>
      <c r="J2" s="104"/>
      <c r="K2" s="104"/>
      <c r="L2" s="105"/>
    </row>
    <row r="3" spans="3:249" ht="21" customHeight="1" x14ac:dyDescent="0.35"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8"/>
    </row>
    <row r="4" spans="3:249" ht="18.75" customHeight="1" thickBot="1" x14ac:dyDescent="0.4">
      <c r="C4" s="109" t="s">
        <v>29</v>
      </c>
      <c r="D4" s="110"/>
      <c r="E4" s="110"/>
      <c r="F4" s="110"/>
      <c r="G4" s="110"/>
      <c r="H4" s="110"/>
      <c r="I4" s="110"/>
      <c r="J4" s="110"/>
      <c r="K4" s="110"/>
      <c r="L4" s="111"/>
      <c r="M4" s="6"/>
    </row>
    <row r="5" spans="3:249" ht="18.75" customHeight="1" x14ac:dyDescent="0.35">
      <c r="C5" s="63"/>
      <c r="D5" s="64"/>
      <c r="E5" s="64"/>
      <c r="F5" s="64" t="s">
        <v>31</v>
      </c>
      <c r="G5" s="64" t="s">
        <v>31</v>
      </c>
      <c r="H5" s="64" t="s">
        <v>31</v>
      </c>
      <c r="I5" s="64" t="s">
        <v>31</v>
      </c>
      <c r="J5" s="64" t="s">
        <v>31</v>
      </c>
      <c r="K5" s="6"/>
      <c r="IN5"/>
      <c r="IO5"/>
    </row>
    <row r="6" spans="3:249" ht="20.25" customHeight="1" x14ac:dyDescent="0.35">
      <c r="C6" s="61"/>
      <c r="D6" s="22"/>
      <c r="E6" s="22"/>
      <c r="F6" s="75">
        <v>2023</v>
      </c>
      <c r="G6" s="75">
        <v>2024</v>
      </c>
      <c r="H6" s="75">
        <v>2025</v>
      </c>
      <c r="I6" s="75">
        <v>2026</v>
      </c>
      <c r="J6" s="77">
        <v>2027</v>
      </c>
      <c r="K6" s="6"/>
      <c r="IN6"/>
      <c r="IO6"/>
    </row>
    <row r="7" spans="3:249" ht="46.5" x14ac:dyDescent="0.35">
      <c r="C7" s="11"/>
      <c r="D7" s="54" t="s">
        <v>7</v>
      </c>
      <c r="E7" s="12"/>
      <c r="F7" s="84">
        <v>6.5000000000000002E-2</v>
      </c>
      <c r="G7" s="84">
        <v>6.5000000000000002E-2</v>
      </c>
      <c r="H7" s="84">
        <v>7.0000000000000007E-2</v>
      </c>
      <c r="I7" s="84">
        <v>7.0000000000000007E-2</v>
      </c>
      <c r="J7" s="84">
        <v>7.0000000000000007E-2</v>
      </c>
      <c r="K7" s="6"/>
      <c r="IN7"/>
      <c r="IO7"/>
    </row>
    <row r="8" spans="3:249" ht="49.5" x14ac:dyDescent="0.35">
      <c r="C8" s="11"/>
      <c r="D8" s="54" t="s">
        <v>23</v>
      </c>
      <c r="E8" s="12"/>
      <c r="F8" s="85">
        <f>710233874-557299360</f>
        <v>152934514</v>
      </c>
      <c r="G8" s="85">
        <f>F10*0.05</f>
        <v>35511693.700000003</v>
      </c>
      <c r="H8" s="85">
        <f t="shared" ref="H8:J8" si="0">G10*0.02</f>
        <v>14914911.354000002</v>
      </c>
      <c r="I8" s="85">
        <f t="shared" si="0"/>
        <v>15213209.581080001</v>
      </c>
      <c r="J8" s="85">
        <f t="shared" si="0"/>
        <v>15517473.772701601</v>
      </c>
      <c r="K8" s="6"/>
      <c r="IN8"/>
      <c r="IO8"/>
    </row>
    <row r="9" spans="3:249" ht="23.25" x14ac:dyDescent="0.35">
      <c r="C9" s="11"/>
      <c r="D9" s="54"/>
      <c r="E9" s="12"/>
      <c r="F9" s="76">
        <v>0.27400000000000002</v>
      </c>
      <c r="G9" s="74">
        <v>0.05</v>
      </c>
      <c r="H9" s="74">
        <v>0.02</v>
      </c>
      <c r="I9" s="74">
        <v>0.02</v>
      </c>
      <c r="J9" s="74">
        <v>0.02</v>
      </c>
      <c r="K9" s="6"/>
      <c r="IN9"/>
      <c r="IO9"/>
    </row>
    <row r="10" spans="3:249" ht="47.25" thickBot="1" x14ac:dyDescent="0.4">
      <c r="C10" s="17"/>
      <c r="D10" s="55" t="s">
        <v>8</v>
      </c>
      <c r="E10" s="18"/>
      <c r="F10" s="86">
        <v>710233874</v>
      </c>
      <c r="G10" s="86">
        <f>F10*1.05</f>
        <v>745745567.70000005</v>
      </c>
      <c r="H10" s="86">
        <f t="shared" ref="H10:J10" si="1">G10*1.02</f>
        <v>760660479.05400002</v>
      </c>
      <c r="I10" s="86">
        <f t="shared" si="1"/>
        <v>775873688.63507998</v>
      </c>
      <c r="J10" s="86">
        <f t="shared" si="1"/>
        <v>791391162.4077816</v>
      </c>
      <c r="K10" s="6"/>
      <c r="IN10"/>
      <c r="IO10"/>
    </row>
    <row r="11" spans="3:249" ht="15.75" customHeight="1" thickTop="1" x14ac:dyDescent="0.35">
      <c r="C11" s="21"/>
      <c r="D11" s="22"/>
      <c r="E11" s="22"/>
      <c r="F11" s="60"/>
      <c r="G11" s="60"/>
      <c r="H11" s="60"/>
      <c r="I11" s="60"/>
      <c r="J11" s="78"/>
      <c r="K11" s="6"/>
      <c r="IN11"/>
      <c r="IO11"/>
    </row>
    <row r="12" spans="3:249" ht="17.25" customHeight="1" x14ac:dyDescent="0.35">
      <c r="C12" s="24" t="s">
        <v>1</v>
      </c>
      <c r="D12" s="22"/>
      <c r="E12" s="22"/>
      <c r="F12" s="62">
        <v>2023</v>
      </c>
      <c r="G12" s="62">
        <v>2024</v>
      </c>
      <c r="H12" s="62">
        <v>2025</v>
      </c>
      <c r="I12" s="62">
        <v>2026</v>
      </c>
      <c r="J12" s="79">
        <v>2027</v>
      </c>
      <c r="K12" s="6"/>
      <c r="IN12"/>
      <c r="IO12"/>
    </row>
    <row r="13" spans="3:249" ht="24.75" customHeight="1" x14ac:dyDescent="0.35">
      <c r="C13" s="27"/>
      <c r="D13" s="12" t="s">
        <v>9</v>
      </c>
      <c r="E13" s="12"/>
      <c r="F13" s="65">
        <v>228000</v>
      </c>
      <c r="G13" s="65">
        <f>F31</f>
        <v>169287.82810000004</v>
      </c>
      <c r="H13" s="65">
        <f>G31</f>
        <v>114108.25710500008</v>
      </c>
      <c r="I13" s="65">
        <f>H31</f>
        <v>93185.902442800114</v>
      </c>
      <c r="J13" s="80">
        <f>I31</f>
        <v>63713.029487356194</v>
      </c>
      <c r="K13" s="6"/>
      <c r="IN13"/>
      <c r="IO13"/>
    </row>
    <row r="14" spans="3:249" ht="18.75" customHeight="1" x14ac:dyDescent="0.35">
      <c r="C14" s="27"/>
      <c r="D14" s="12"/>
      <c r="E14" s="12"/>
      <c r="F14" s="87"/>
      <c r="G14" s="87"/>
      <c r="H14" s="87"/>
      <c r="I14" s="87"/>
      <c r="J14" s="88"/>
      <c r="K14" s="6"/>
      <c r="IN14"/>
      <c r="IO14"/>
    </row>
    <row r="15" spans="3:249" ht="18.75" customHeight="1" x14ac:dyDescent="0.35">
      <c r="C15" s="27"/>
      <c r="D15" s="12" t="s">
        <v>10</v>
      </c>
      <c r="E15" s="12"/>
      <c r="F15" s="87">
        <f>+F10*F7/100</f>
        <v>461652.01810000004</v>
      </c>
      <c r="G15" s="87">
        <f>+G10*G7/100</f>
        <v>484734.61900500004</v>
      </c>
      <c r="H15" s="87">
        <f>+H10*H7/100</f>
        <v>532462.33533780009</v>
      </c>
      <c r="I15" s="87">
        <f>+I10*I7/100</f>
        <v>543111.58204455604</v>
      </c>
      <c r="J15" s="88">
        <f>+J10*J7/100</f>
        <v>553973.81368544721</v>
      </c>
      <c r="K15" s="6"/>
      <c r="IN15"/>
      <c r="IO15"/>
    </row>
    <row r="16" spans="3:249" ht="21" customHeight="1" x14ac:dyDescent="0.35">
      <c r="C16" s="27"/>
      <c r="D16" s="12"/>
      <c r="E16" s="12"/>
      <c r="F16" s="65"/>
      <c r="G16" s="65"/>
      <c r="H16" s="65"/>
      <c r="I16" s="65"/>
      <c r="J16" s="80"/>
      <c r="K16" s="6"/>
      <c r="IN16"/>
      <c r="IO16"/>
    </row>
    <row r="17" spans="3:249" ht="23.25" customHeight="1" x14ac:dyDescent="0.35">
      <c r="C17" s="27"/>
      <c r="D17" s="12" t="s">
        <v>11</v>
      </c>
      <c r="E17" s="12"/>
      <c r="F17" s="65">
        <v>-16364.19</v>
      </c>
      <c r="G17" s="65">
        <v>-16364.19</v>
      </c>
      <c r="H17" s="65">
        <v>-16364.19</v>
      </c>
      <c r="I17" s="65">
        <v>-16364.19</v>
      </c>
      <c r="J17" s="80">
        <v>-16364.19</v>
      </c>
      <c r="IN17"/>
      <c r="IO17"/>
    </row>
    <row r="18" spans="3:249" ht="23.25" customHeight="1" x14ac:dyDescent="0.35">
      <c r="C18" s="27"/>
      <c r="D18" s="31" t="s">
        <v>32</v>
      </c>
      <c r="E18" s="31"/>
      <c r="F18" s="67">
        <f t="shared" ref="F18:H18" si="2">F16*-0.5</f>
        <v>0</v>
      </c>
      <c r="G18" s="67">
        <f t="shared" si="2"/>
        <v>0</v>
      </c>
      <c r="H18" s="67">
        <f t="shared" si="2"/>
        <v>0</v>
      </c>
      <c r="I18" s="67">
        <f t="shared" ref="I18:J18" si="3">I16*-0.5</f>
        <v>0</v>
      </c>
      <c r="J18" s="81">
        <f t="shared" si="3"/>
        <v>0</v>
      </c>
      <c r="K18" s="6"/>
      <c r="IN18"/>
      <c r="IO18"/>
    </row>
    <row r="19" spans="3:249" ht="33.75" customHeight="1" x14ac:dyDescent="0.35">
      <c r="C19" s="27"/>
      <c r="D19" s="12" t="s">
        <v>2</v>
      </c>
      <c r="E19" s="12"/>
      <c r="F19" s="68">
        <f>+F15+F17</f>
        <v>445287.82810000004</v>
      </c>
      <c r="G19" s="68">
        <f t="shared" ref="G19:J19" si="4">+G15+G17</f>
        <v>468370.42900500004</v>
      </c>
      <c r="H19" s="68">
        <f t="shared" si="4"/>
        <v>516098.14533780009</v>
      </c>
      <c r="I19" s="68">
        <f t="shared" si="4"/>
        <v>526747.39204455609</v>
      </c>
      <c r="J19" s="82">
        <f t="shared" si="4"/>
        <v>537609.62368544727</v>
      </c>
      <c r="K19" s="6"/>
      <c r="IN19"/>
      <c r="IO19"/>
    </row>
    <row r="20" spans="3:249" ht="16.5" customHeight="1" x14ac:dyDescent="0.35">
      <c r="C20" s="27"/>
      <c r="D20" s="12" t="s">
        <v>19</v>
      </c>
      <c r="E20" s="12"/>
      <c r="F20" s="65">
        <v>0</v>
      </c>
      <c r="G20" s="65">
        <v>0</v>
      </c>
      <c r="H20" s="65">
        <v>0</v>
      </c>
      <c r="I20" s="65">
        <v>0</v>
      </c>
      <c r="J20" s="80">
        <v>0</v>
      </c>
      <c r="K20" s="6"/>
      <c r="IN20"/>
      <c r="IO20"/>
    </row>
    <row r="21" spans="3:249" ht="19.5" customHeight="1" x14ac:dyDescent="0.35">
      <c r="C21" s="27"/>
      <c r="D21" s="12" t="s">
        <v>3</v>
      </c>
      <c r="E21" s="12"/>
      <c r="F21" s="65">
        <v>0</v>
      </c>
      <c r="G21" s="65">
        <v>0</v>
      </c>
      <c r="H21" s="65">
        <v>0</v>
      </c>
      <c r="I21" s="65">
        <v>0</v>
      </c>
      <c r="J21" s="80">
        <v>0</v>
      </c>
      <c r="K21" s="6"/>
      <c r="IN21"/>
      <c r="IO21"/>
    </row>
    <row r="22" spans="3:249" ht="15" customHeight="1" x14ac:dyDescent="0.35">
      <c r="C22" s="27"/>
      <c r="D22" s="12"/>
      <c r="E22" s="12"/>
      <c r="F22" s="65"/>
      <c r="G22" s="65"/>
      <c r="H22" s="65"/>
      <c r="I22" s="65"/>
      <c r="J22" s="80"/>
      <c r="K22" s="6"/>
      <c r="IN22"/>
      <c r="IO22"/>
    </row>
    <row r="23" spans="3:249" ht="24" customHeight="1" thickBot="1" x14ac:dyDescent="0.4">
      <c r="C23" s="39"/>
      <c r="D23" s="18" t="s">
        <v>4</v>
      </c>
      <c r="E23" s="18"/>
      <c r="F23" s="69">
        <f>F13+F19</f>
        <v>673287.82810000004</v>
      </c>
      <c r="G23" s="69">
        <f>G13+G19</f>
        <v>637658.25710500008</v>
      </c>
      <c r="H23" s="69">
        <f>H13+H19</f>
        <v>630206.40244280011</v>
      </c>
      <c r="I23" s="69">
        <f>I13+I19</f>
        <v>619933.29448735621</v>
      </c>
      <c r="J23" s="83">
        <f>J13+J19</f>
        <v>601322.65317280346</v>
      </c>
      <c r="K23" s="6"/>
      <c r="IN23"/>
      <c r="IO23"/>
    </row>
    <row r="24" spans="3:249" ht="15" customHeight="1" thickTop="1" x14ac:dyDescent="0.35">
      <c r="C24" s="27"/>
      <c r="D24" s="22"/>
      <c r="E24" s="22"/>
      <c r="F24" s="65"/>
      <c r="G24" s="65"/>
      <c r="H24" s="65"/>
      <c r="I24" s="65"/>
      <c r="J24" s="66"/>
      <c r="K24" s="6"/>
      <c r="IN24"/>
      <c r="IO24"/>
    </row>
    <row r="25" spans="3:249" ht="23.25" customHeight="1" x14ac:dyDescent="0.35">
      <c r="C25" s="24" t="s">
        <v>12</v>
      </c>
      <c r="D25" s="22"/>
      <c r="E25" s="22"/>
      <c r="F25" s="65"/>
      <c r="G25" s="65"/>
      <c r="H25" s="65"/>
      <c r="I25" s="65"/>
      <c r="J25" s="66"/>
      <c r="K25" s="6"/>
      <c r="IN25"/>
      <c r="IO25"/>
    </row>
    <row r="26" spans="3:249" ht="26.25" customHeight="1" x14ac:dyDescent="0.35">
      <c r="C26" s="27"/>
      <c r="D26" s="12" t="s">
        <v>33</v>
      </c>
      <c r="E26" s="12"/>
      <c r="F26" s="65">
        <f>375000*1.04+35000</f>
        <v>425000</v>
      </c>
      <c r="G26" s="65">
        <f>390000*1.04+35000</f>
        <v>440600</v>
      </c>
      <c r="H26" s="65">
        <f>400600*1.04+35000</f>
        <v>451624</v>
      </c>
      <c r="I26" s="65">
        <f>416624*1.04+35000</f>
        <v>468288.96</v>
      </c>
      <c r="J26" s="66">
        <f>433289*1.04+35000</f>
        <v>485620.56</v>
      </c>
      <c r="K26" s="6"/>
      <c r="IN26"/>
      <c r="IO26"/>
    </row>
    <row r="27" spans="3:249" ht="28.5" customHeight="1" x14ac:dyDescent="0.35">
      <c r="C27" s="27"/>
      <c r="D27" s="12" t="s">
        <v>34</v>
      </c>
      <c r="E27" s="12"/>
      <c r="F27" s="65">
        <v>25000</v>
      </c>
      <c r="G27" s="65">
        <f>F27*1.05</f>
        <v>26250</v>
      </c>
      <c r="H27" s="65">
        <f>G27*1.05</f>
        <v>27562.5</v>
      </c>
      <c r="I27" s="65">
        <f>H27*1.05</f>
        <v>28940.625</v>
      </c>
      <c r="J27" s="66">
        <f>I27*1.05</f>
        <v>30387.65625</v>
      </c>
      <c r="K27" s="42"/>
      <c r="IN27"/>
      <c r="IO27"/>
    </row>
    <row r="28" spans="3:249" ht="23.25" customHeight="1" x14ac:dyDescent="0.35">
      <c r="C28" s="27"/>
      <c r="D28" s="12" t="s">
        <v>30</v>
      </c>
      <c r="E28" s="12"/>
      <c r="F28" s="65">
        <v>54000</v>
      </c>
      <c r="G28" s="65">
        <f>F28*1.05</f>
        <v>56700</v>
      </c>
      <c r="H28" s="65">
        <f>G28*1.02</f>
        <v>57834</v>
      </c>
      <c r="I28" s="65">
        <f>H28*1.02</f>
        <v>58990.68</v>
      </c>
      <c r="J28" s="66">
        <f>I28*1.02</f>
        <v>60170.493600000002</v>
      </c>
      <c r="K28" s="6"/>
      <c r="IN28"/>
      <c r="IO28"/>
    </row>
    <row r="29" spans="3:249" ht="23.25" customHeight="1" thickBot="1" x14ac:dyDescent="0.4">
      <c r="C29" s="43"/>
      <c r="D29" s="18" t="s">
        <v>5</v>
      </c>
      <c r="E29" s="18"/>
      <c r="F29" s="69">
        <f>SUM(F26:F28)</f>
        <v>504000</v>
      </c>
      <c r="G29" s="69">
        <f>SUM(G26:G28)</f>
        <v>523550</v>
      </c>
      <c r="H29" s="69">
        <f>SUM(H26:H28)</f>
        <v>537020.5</v>
      </c>
      <c r="I29" s="69">
        <f>SUM(I26:I28)</f>
        <v>556220.26500000001</v>
      </c>
      <c r="J29" s="70">
        <f>SUM(J26:J28)</f>
        <v>576178.70984999998</v>
      </c>
      <c r="K29" s="6"/>
      <c r="IN29"/>
      <c r="IO29"/>
    </row>
    <row r="30" spans="3:249" ht="15" customHeight="1" thickTop="1" x14ac:dyDescent="0.35">
      <c r="C30" s="27"/>
      <c r="D30" s="22"/>
      <c r="E30" s="22"/>
      <c r="F30" s="65"/>
      <c r="G30" s="65"/>
      <c r="H30" s="65"/>
      <c r="I30" s="71"/>
      <c r="J30" s="66"/>
      <c r="K30" s="6"/>
      <c r="IN30"/>
      <c r="IO30"/>
    </row>
    <row r="31" spans="3:249" ht="19.5" customHeight="1" thickBot="1" x14ac:dyDescent="0.4">
      <c r="C31" s="44" t="s">
        <v>6</v>
      </c>
      <c r="D31" s="45"/>
      <c r="E31" s="45"/>
      <c r="F31" s="72">
        <f t="shared" ref="F31:H31" si="5">F23-F29</f>
        <v>169287.82810000004</v>
      </c>
      <c r="G31" s="72">
        <f t="shared" si="5"/>
        <v>114108.25710500008</v>
      </c>
      <c r="H31" s="72">
        <f t="shared" si="5"/>
        <v>93185.902442800114</v>
      </c>
      <c r="I31" s="72">
        <f t="shared" ref="I31:J31" si="6">I23-I29</f>
        <v>63713.029487356194</v>
      </c>
      <c r="J31" s="73">
        <f t="shared" si="6"/>
        <v>25143.943322803476</v>
      </c>
      <c r="K31" s="6"/>
      <c r="IN31"/>
      <c r="IO31"/>
    </row>
    <row r="32" spans="3:249" ht="15.6" customHeight="1" x14ac:dyDescent="0.35">
      <c r="C32" s="112"/>
      <c r="D32" s="113"/>
      <c r="E32" s="113"/>
      <c r="F32" s="113"/>
      <c r="G32" s="113"/>
      <c r="H32" s="113"/>
      <c r="I32" s="113"/>
      <c r="J32" s="113"/>
      <c r="K32" s="113"/>
      <c r="L32" s="114"/>
      <c r="M32" s="6"/>
    </row>
    <row r="33" spans="3:249" ht="21.75" customHeight="1" x14ac:dyDescent="0.35">
      <c r="C33" s="115" t="s">
        <v>13</v>
      </c>
      <c r="D33" s="116"/>
      <c r="E33" s="116"/>
      <c r="F33" s="116"/>
      <c r="G33" s="116"/>
      <c r="H33" s="116"/>
      <c r="I33" s="116"/>
      <c r="J33" s="116"/>
      <c r="K33" s="116"/>
      <c r="L33" s="117"/>
      <c r="M33" s="6"/>
    </row>
    <row r="34" spans="3:249" ht="21.75" customHeight="1" x14ac:dyDescent="0.35">
      <c r="C34" s="92" t="s">
        <v>39</v>
      </c>
      <c r="D34" s="93"/>
      <c r="E34" s="93"/>
      <c r="F34" s="93"/>
      <c r="G34" s="93"/>
      <c r="H34" s="93"/>
      <c r="I34" s="93"/>
      <c r="J34" s="93"/>
      <c r="K34" s="93"/>
      <c r="L34" s="94"/>
      <c r="M34" s="6"/>
    </row>
    <row r="35" spans="3:249" ht="21.75" customHeight="1" x14ac:dyDescent="0.25">
      <c r="C35" s="95" t="s">
        <v>38</v>
      </c>
      <c r="D35" s="91"/>
      <c r="E35" s="91"/>
      <c r="F35" s="91"/>
      <c r="G35" s="91"/>
      <c r="H35" s="91"/>
      <c r="I35" s="91"/>
      <c r="J35" s="91"/>
      <c r="K35" s="91"/>
      <c r="L35" s="96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3:249" s="56" customFormat="1" ht="21.75" customHeight="1" x14ac:dyDescent="0.35">
      <c r="C36" s="97" t="s">
        <v>35</v>
      </c>
      <c r="D36" s="98"/>
      <c r="E36" s="98"/>
      <c r="F36" s="98"/>
      <c r="G36" s="98"/>
      <c r="H36" s="98"/>
      <c r="I36" s="98"/>
      <c r="J36" s="98"/>
      <c r="K36" s="98"/>
      <c r="L36" s="99"/>
    </row>
    <row r="37" spans="3:249" s="3" customFormat="1" ht="21.75" customHeight="1" x14ac:dyDescent="0.35">
      <c r="C37" s="97" t="s">
        <v>36</v>
      </c>
      <c r="D37" s="98"/>
      <c r="E37" s="98"/>
      <c r="F37" s="98"/>
      <c r="G37" s="98"/>
      <c r="H37" s="98"/>
      <c r="I37" s="98"/>
      <c r="J37" s="98"/>
      <c r="K37" s="98"/>
      <c r="L37" s="99"/>
      <c r="M37" s="5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3:249" ht="21.75" customHeight="1" thickBot="1" x14ac:dyDescent="0.4">
      <c r="C38" s="100" t="s">
        <v>37</v>
      </c>
      <c r="D38" s="101"/>
      <c r="E38" s="101"/>
      <c r="F38" s="101"/>
      <c r="G38" s="101"/>
      <c r="H38" s="101"/>
      <c r="I38" s="101"/>
      <c r="J38" s="101"/>
      <c r="K38" s="101"/>
      <c r="L38" s="102"/>
      <c r="M38" s="6"/>
    </row>
    <row r="39" spans="3:249" ht="21.75" customHeight="1" x14ac:dyDescent="0.35">
      <c r="C39" s="6"/>
      <c r="D39" s="6"/>
      <c r="E39" s="6"/>
      <c r="F39" s="6"/>
      <c r="G39" s="6"/>
      <c r="L39" s="6"/>
      <c r="M39" s="6"/>
    </row>
    <row r="40" spans="3:249" s="57" customFormat="1" ht="28.5" customHeight="1" x14ac:dyDescent="0.25">
      <c r="C40" s="58"/>
      <c r="D40" s="1"/>
      <c r="E40" s="1"/>
      <c r="F40" s="1"/>
      <c r="G40" s="1"/>
      <c r="H40" s="1"/>
      <c r="I40" s="1"/>
      <c r="J40" s="1"/>
      <c r="K40" s="1"/>
    </row>
    <row r="41" spans="3:249" ht="15" customHeight="1" x14ac:dyDescent="0.25">
      <c r="C41" s="58"/>
    </row>
    <row r="42" spans="3:249" ht="20.25" customHeight="1" x14ac:dyDescent="0.25"/>
    <row r="43" spans="3:249" ht="20.25" customHeight="1" x14ac:dyDescent="0.25"/>
    <row r="44" spans="3:249" ht="20.25" customHeight="1" x14ac:dyDescent="0.25"/>
    <row r="45" spans="3:249" ht="20.25" customHeight="1" x14ac:dyDescent="0.25">
      <c r="C45" s="59"/>
      <c r="D45" s="59"/>
      <c r="E45" s="59"/>
      <c r="F45" s="59"/>
      <c r="G45" s="59"/>
      <c r="H45" s="59"/>
      <c r="I45" s="59"/>
      <c r="J45" s="59"/>
      <c r="K45" s="59"/>
    </row>
    <row r="46" spans="3:249" ht="20.25" customHeight="1" x14ac:dyDescent="0.25">
      <c r="C46" s="59"/>
      <c r="D46" s="59"/>
      <c r="E46" s="59"/>
      <c r="F46" s="59"/>
      <c r="G46" s="59"/>
      <c r="H46" s="59"/>
      <c r="I46" s="59"/>
      <c r="J46" s="59"/>
      <c r="K46" s="59"/>
    </row>
    <row r="47" spans="3:249" ht="20.25" customHeight="1" x14ac:dyDescent="0.25">
      <c r="C47" s="59"/>
      <c r="D47" s="59"/>
      <c r="E47" s="59"/>
      <c r="F47" s="59"/>
      <c r="G47" s="59"/>
      <c r="H47" s="59"/>
      <c r="I47" s="59"/>
      <c r="J47" s="59"/>
      <c r="K47" s="59"/>
    </row>
    <row r="48" spans="3:249" ht="20.25" customHeight="1" x14ac:dyDescent="0.25">
      <c r="C48" s="59"/>
      <c r="D48" s="59"/>
      <c r="E48" s="59"/>
      <c r="F48" s="59"/>
      <c r="G48" s="59"/>
      <c r="H48" s="59"/>
      <c r="I48" s="59"/>
      <c r="J48" s="59"/>
      <c r="K48" s="59"/>
    </row>
    <row r="49" spans="3:11" ht="20.25" customHeight="1" x14ac:dyDescent="0.25">
      <c r="C49" s="59"/>
      <c r="D49" s="59"/>
      <c r="E49" s="59"/>
      <c r="F49" s="59"/>
      <c r="G49" s="59"/>
      <c r="H49" s="59"/>
      <c r="I49" s="59"/>
      <c r="J49" s="59"/>
      <c r="K49" s="59"/>
    </row>
    <row r="50" spans="3:11" ht="20.25" customHeight="1" x14ac:dyDescent="0.25">
      <c r="C50" s="59"/>
      <c r="D50" s="59"/>
      <c r="E50" s="59"/>
      <c r="F50" s="59"/>
      <c r="G50" s="59"/>
      <c r="H50" s="59"/>
      <c r="I50" s="59"/>
      <c r="J50" s="59"/>
      <c r="K50" s="59"/>
    </row>
    <row r="51" spans="3:11" ht="20.25" customHeight="1" x14ac:dyDescent="0.25">
      <c r="C51" s="59"/>
      <c r="D51" s="59"/>
      <c r="E51" s="59"/>
      <c r="F51" s="59"/>
      <c r="G51" s="59"/>
      <c r="H51" s="59"/>
      <c r="I51" s="59"/>
      <c r="J51" s="59"/>
      <c r="K51" s="59"/>
    </row>
    <row r="52" spans="3:11" ht="20.25" customHeight="1" x14ac:dyDescent="0.25">
      <c r="C52" s="59"/>
      <c r="D52" s="59"/>
      <c r="E52" s="59"/>
      <c r="F52" s="59"/>
      <c r="G52" s="59"/>
      <c r="H52" s="59"/>
      <c r="I52" s="59"/>
      <c r="J52" s="59"/>
      <c r="K52" s="59"/>
    </row>
    <row r="53" spans="3:11" ht="20.25" customHeight="1" x14ac:dyDescent="0.25">
      <c r="C53" s="59"/>
      <c r="D53" s="59"/>
      <c r="E53" s="59"/>
      <c r="F53" s="59"/>
      <c r="G53" s="59"/>
      <c r="H53" s="59"/>
      <c r="I53" s="59"/>
      <c r="J53" s="59"/>
      <c r="K53" s="59"/>
    </row>
    <row r="54" spans="3:11" ht="20.25" customHeight="1" x14ac:dyDescent="0.25">
      <c r="C54" s="59"/>
      <c r="D54" s="59"/>
      <c r="E54" s="59"/>
      <c r="F54" s="59"/>
      <c r="G54" s="59"/>
      <c r="H54" s="59"/>
      <c r="I54" s="59"/>
      <c r="J54" s="59"/>
      <c r="K54" s="59"/>
    </row>
    <row r="55" spans="3:11" ht="20.25" customHeight="1" x14ac:dyDescent="0.25">
      <c r="C55" s="59"/>
      <c r="D55" s="59"/>
      <c r="E55" s="59"/>
      <c r="F55" s="59"/>
      <c r="G55" s="59"/>
      <c r="H55" s="59"/>
      <c r="I55" s="59"/>
      <c r="J55" s="59"/>
      <c r="K55" s="59"/>
    </row>
    <row r="56" spans="3:11" ht="20.25" customHeight="1" x14ac:dyDescent="0.25">
      <c r="C56" s="59"/>
      <c r="D56" s="59"/>
      <c r="E56" s="59"/>
      <c r="F56" s="59"/>
      <c r="G56" s="59"/>
      <c r="H56" s="59"/>
      <c r="I56" s="59"/>
      <c r="J56" s="59"/>
      <c r="K56" s="59"/>
    </row>
    <row r="57" spans="3:11" ht="20.25" customHeight="1" x14ac:dyDescent="0.25">
      <c r="C57" s="59"/>
      <c r="D57" s="59"/>
      <c r="E57" s="59"/>
      <c r="F57" s="59"/>
      <c r="G57" s="59"/>
      <c r="H57" s="59"/>
      <c r="I57" s="59"/>
      <c r="J57" s="59"/>
      <c r="K57" s="59"/>
    </row>
    <row r="58" spans="3:11" ht="20.25" customHeight="1" x14ac:dyDescent="0.25">
      <c r="C58" s="59"/>
      <c r="D58" s="59"/>
      <c r="E58" s="59"/>
      <c r="F58" s="59"/>
      <c r="G58" s="59"/>
      <c r="H58" s="59"/>
      <c r="I58" s="59"/>
      <c r="J58" s="59"/>
      <c r="K58" s="59"/>
    </row>
    <row r="59" spans="3:11" ht="20.25" customHeight="1" x14ac:dyDescent="0.25">
      <c r="C59" s="59"/>
      <c r="D59" s="59"/>
      <c r="E59" s="59"/>
      <c r="F59" s="59"/>
      <c r="G59" s="59"/>
      <c r="H59" s="59"/>
      <c r="I59" s="59"/>
      <c r="J59" s="59"/>
      <c r="K59" s="59"/>
    </row>
    <row r="60" spans="3:11" ht="20.25" customHeight="1" x14ac:dyDescent="0.25">
      <c r="C60" s="59"/>
      <c r="D60" s="59"/>
      <c r="E60" s="59"/>
      <c r="F60" s="59"/>
      <c r="G60" s="59"/>
      <c r="H60" s="59"/>
      <c r="I60" s="59"/>
      <c r="J60" s="59"/>
      <c r="K60" s="59"/>
    </row>
    <row r="61" spans="3:11" ht="20.25" customHeight="1" x14ac:dyDescent="0.25">
      <c r="C61" s="59"/>
      <c r="D61" s="59"/>
      <c r="E61" s="59"/>
      <c r="F61" s="59"/>
      <c r="G61" s="59"/>
      <c r="H61" s="59"/>
      <c r="I61" s="59"/>
      <c r="J61" s="59"/>
      <c r="K61" s="59"/>
    </row>
    <row r="62" spans="3:11" ht="20.25" customHeight="1" x14ac:dyDescent="0.25"/>
    <row r="63" spans="3:11" ht="20.25" customHeight="1" x14ac:dyDescent="0.25"/>
  </sheetData>
  <mergeCells count="10">
    <mergeCell ref="C2:L2"/>
    <mergeCell ref="C3:L3"/>
    <mergeCell ref="C4:L4"/>
    <mergeCell ref="C32:L32"/>
    <mergeCell ref="C33:L33"/>
    <mergeCell ref="C34:L34"/>
    <mergeCell ref="C35:L35"/>
    <mergeCell ref="C36:L36"/>
    <mergeCell ref="C37:L37"/>
    <mergeCell ref="C38:L38"/>
  </mergeCells>
  <printOptions gridLines="1"/>
  <pageMargins left="0.2" right="0.25" top="0.25" bottom="0.25" header="0" footer="0"/>
  <pageSetup scale="65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 2019-2025</vt:lpstr>
      <vt:lpstr>SP 2022-2026</vt:lpstr>
      <vt:lpstr>Sheet1</vt:lpstr>
      <vt:lpstr>'SP 2019-2025'!Print_Area</vt:lpstr>
      <vt:lpstr>'SP 2022-2026'!Print_Area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Hubach, Jonathan</dc:creator>
  <cp:lastModifiedBy>Barry</cp:lastModifiedBy>
  <cp:lastPrinted>2022-08-04T13:41:02Z</cp:lastPrinted>
  <dcterms:created xsi:type="dcterms:W3CDTF">2016-08-31T14:32:21Z</dcterms:created>
  <dcterms:modified xsi:type="dcterms:W3CDTF">2023-04-05T21:58:44Z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